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\Dropbox\Optimum Psi Business Plan\Marketing Strategy\Active IQ Contacting Buyers\Website\"/>
    </mc:Choice>
  </mc:AlternateContent>
  <xr:revisionPtr revIDLastSave="0" documentId="13_ncr:1_{E82BFB87-C02C-42A0-B8F3-7B36C1A6C7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ypical well 70 mscfday " sheetId="1" r:id="rId1"/>
  </sheets>
  <definedNames>
    <definedName name="_xlnm.Print_Area" localSheetId="0">'Typical well 70 mscfday '!$A$1:$O$42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A21" i="1"/>
  <c r="C5" i="1"/>
  <c r="D5" i="1" s="1"/>
  <c r="E5" i="1" s="1"/>
  <c r="F5" i="1" s="1"/>
  <c r="G5" i="1" s="1"/>
  <c r="H5" i="1" s="1"/>
  <c r="I5" i="1" s="1"/>
  <c r="J5" i="1" s="1"/>
  <c r="B15" i="1" l="1"/>
  <c r="I19" i="1" l="1"/>
  <c r="B20" i="1"/>
  <c r="B21" i="1" s="1"/>
  <c r="F20" i="1"/>
  <c r="H20" i="1"/>
  <c r="A22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F35" i="1"/>
  <c r="H35" i="1"/>
  <c r="F36" i="1"/>
  <c r="H36" i="1"/>
  <c r="C20" i="1" l="1"/>
  <c r="D20" i="1" s="1"/>
  <c r="A23" i="1"/>
  <c r="A24" i="1" s="1"/>
  <c r="C21" i="1"/>
  <c r="B22" i="1"/>
  <c r="E20" i="1" l="1"/>
  <c r="G20" i="1" s="1"/>
  <c r="I20" i="1" s="1"/>
  <c r="A25" i="1"/>
  <c r="A26" i="1" s="1"/>
  <c r="E21" i="1"/>
  <c r="D21" i="1"/>
  <c r="G21" i="1" s="1"/>
  <c r="J21" i="1" s="1"/>
  <c r="C22" i="1"/>
  <c r="B23" i="1"/>
  <c r="J20" i="1" l="1"/>
  <c r="A27" i="1"/>
  <c r="A28" i="1" s="1"/>
  <c r="N20" i="1"/>
  <c r="I21" i="1"/>
  <c r="M20" i="1"/>
  <c r="D22" i="1"/>
  <c r="E22" i="1"/>
  <c r="L20" i="1"/>
  <c r="C23" i="1"/>
  <c r="B24" i="1"/>
  <c r="A29" i="1" l="1"/>
  <c r="A30" i="1" s="1"/>
  <c r="G22" i="1"/>
  <c r="I22" i="1" s="1"/>
  <c r="C14" i="1" s="1"/>
  <c r="L21" i="1"/>
  <c r="N21" i="1"/>
  <c r="M21" i="1"/>
  <c r="E23" i="1"/>
  <c r="D23" i="1"/>
  <c r="C24" i="1"/>
  <c r="B25" i="1"/>
  <c r="A31" i="1" l="1"/>
  <c r="A32" i="1" s="1"/>
  <c r="J22" i="1"/>
  <c r="G23" i="1"/>
  <c r="N22" i="1"/>
  <c r="L22" i="1"/>
  <c r="C25" i="1"/>
  <c r="B26" i="1"/>
  <c r="M22" i="1"/>
  <c r="D24" i="1"/>
  <c r="E24" i="1"/>
  <c r="A33" i="1" l="1"/>
  <c r="A34" i="1" s="1"/>
  <c r="A35" i="1" s="1"/>
  <c r="A36" i="1" s="1"/>
  <c r="I23" i="1"/>
  <c r="J23" i="1"/>
  <c r="G24" i="1"/>
  <c r="I24" i="1" s="1"/>
  <c r="N24" i="1" s="1"/>
  <c r="B27" i="1"/>
  <c r="C26" i="1"/>
  <c r="E25" i="1"/>
  <c r="D25" i="1"/>
  <c r="G25" i="1" l="1"/>
  <c r="J24" i="1"/>
  <c r="L24" i="1"/>
  <c r="L23" i="1"/>
  <c r="N23" i="1"/>
  <c r="M23" i="1"/>
  <c r="M24" i="1" s="1"/>
  <c r="B28" i="1"/>
  <c r="C27" i="1"/>
  <c r="I25" i="1"/>
  <c r="J25" i="1"/>
  <c r="D26" i="1"/>
  <c r="E26" i="1"/>
  <c r="M25" i="1" l="1"/>
  <c r="G26" i="1"/>
  <c r="J26" i="1" s="1"/>
  <c r="C28" i="1"/>
  <c r="B29" i="1"/>
  <c r="N25" i="1"/>
  <c r="L25" i="1"/>
  <c r="D27" i="1"/>
  <c r="E27" i="1"/>
  <c r="I26" i="1" l="1"/>
  <c r="M26" i="1" s="1"/>
  <c r="C29" i="1"/>
  <c r="B30" i="1"/>
  <c r="G27" i="1"/>
  <c r="E28" i="1"/>
  <c r="D28" i="1"/>
  <c r="L26" i="1" l="1"/>
  <c r="N26" i="1"/>
  <c r="I27" i="1"/>
  <c r="J27" i="1"/>
  <c r="B31" i="1"/>
  <c r="C30" i="1"/>
  <c r="G28" i="1"/>
  <c r="E29" i="1"/>
  <c r="D29" i="1"/>
  <c r="G29" i="1" l="1"/>
  <c r="J29" i="1" s="1"/>
  <c r="E30" i="1"/>
  <c r="D30" i="1"/>
  <c r="C31" i="1"/>
  <c r="B32" i="1"/>
  <c r="I28" i="1"/>
  <c r="J28" i="1"/>
  <c r="L27" i="1"/>
  <c r="N27" i="1"/>
  <c r="M27" i="1"/>
  <c r="I29" i="1" l="1"/>
  <c r="N29" i="1" s="1"/>
  <c r="M28" i="1"/>
  <c r="G30" i="1"/>
  <c r="J30" i="1" s="1"/>
  <c r="B33" i="1"/>
  <c r="C32" i="1"/>
  <c r="D31" i="1"/>
  <c r="E31" i="1"/>
  <c r="L28" i="1"/>
  <c r="N28" i="1"/>
  <c r="G31" i="1" l="1"/>
  <c r="J31" i="1" s="1"/>
  <c r="M29" i="1"/>
  <c r="L29" i="1"/>
  <c r="I30" i="1"/>
  <c r="N30" i="1" s="1"/>
  <c r="C33" i="1"/>
  <c r="B34" i="1"/>
  <c r="D32" i="1"/>
  <c r="E32" i="1"/>
  <c r="I31" i="1" l="1"/>
  <c r="L31" i="1" s="1"/>
  <c r="L30" i="1"/>
  <c r="M30" i="1"/>
  <c r="G32" i="1"/>
  <c r="E33" i="1"/>
  <c r="D33" i="1"/>
  <c r="B35" i="1"/>
  <c r="C34" i="1"/>
  <c r="N31" i="1" l="1"/>
  <c r="M31" i="1"/>
  <c r="G33" i="1"/>
  <c r="J33" i="1" s="1"/>
  <c r="D34" i="1"/>
  <c r="E34" i="1"/>
  <c r="C35" i="1"/>
  <c r="B36" i="1"/>
  <c r="J32" i="1"/>
  <c r="I32" i="1"/>
  <c r="I33" i="1" l="1"/>
  <c r="N33" i="1" s="1"/>
  <c r="G34" i="1"/>
  <c r="J34" i="1" s="1"/>
  <c r="D35" i="1"/>
  <c r="E35" i="1"/>
  <c r="L32" i="1"/>
  <c r="N32" i="1"/>
  <c r="M32" i="1"/>
  <c r="C36" i="1"/>
  <c r="B37" i="1"/>
  <c r="L33" i="1" l="1"/>
  <c r="M33" i="1"/>
  <c r="I34" i="1"/>
  <c r="N34" i="1" s="1"/>
  <c r="D36" i="1"/>
  <c r="E36" i="1"/>
  <c r="E41" i="1" s="1"/>
  <c r="G35" i="1"/>
  <c r="C37" i="1"/>
  <c r="D37" i="1" l="1"/>
  <c r="D42" i="1"/>
  <c r="D41" i="1"/>
  <c r="D40" i="1"/>
  <c r="L34" i="1"/>
  <c r="M34" i="1"/>
  <c r="G36" i="1"/>
  <c r="G37" i="1" s="1"/>
  <c r="J37" i="1" s="1"/>
  <c r="I35" i="1"/>
  <c r="J35" i="1"/>
  <c r="E37" i="1"/>
  <c r="E40" i="1"/>
  <c r="E42" i="1"/>
  <c r="M35" i="1" l="1"/>
  <c r="I36" i="1"/>
  <c r="I37" i="1" s="1"/>
  <c r="J36" i="1"/>
  <c r="L35" i="1"/>
  <c r="N35" i="1"/>
  <c r="M40" i="1"/>
  <c r="I42" i="1" l="1"/>
  <c r="L36" i="1"/>
  <c r="L40" i="1" s="1"/>
  <c r="M36" i="1"/>
  <c r="I41" i="1"/>
  <c r="I40" i="1"/>
  <c r="N36" i="1"/>
  <c r="N40" i="1" s="1"/>
  <c r="L41" i="1" l="1"/>
  <c r="L42" i="1"/>
  <c r="L37" i="1"/>
</calcChain>
</file>

<file path=xl/sharedStrings.xml><?xml version="1.0" encoding="utf-8"?>
<sst xmlns="http://schemas.openxmlformats.org/spreadsheetml/2006/main" count="53" uniqueCount="45">
  <si>
    <t>Ave Yield</t>
  </si>
  <si>
    <t>IRR %</t>
  </si>
  <si>
    <t>NPV</t>
  </si>
  <si>
    <t>%</t>
  </si>
  <si>
    <t>$</t>
  </si>
  <si>
    <t>$/mscf</t>
  </si>
  <si>
    <t>MCF</t>
  </si>
  <si>
    <t>Annual Yield</t>
  </si>
  <si>
    <t>Cash Flow</t>
  </si>
  <si>
    <t>Capex</t>
  </si>
  <si>
    <t>Net Back</t>
  </si>
  <si>
    <t>Net Op Inc</t>
  </si>
  <si>
    <t>Work Int</t>
  </si>
  <si>
    <t>Op Income</t>
  </si>
  <si>
    <t>Opex</t>
  </si>
  <si>
    <t>Gross Overide</t>
  </si>
  <si>
    <t>Crn Roy</t>
  </si>
  <si>
    <t>Revenue</t>
  </si>
  <si>
    <t>Sales Volumes</t>
  </si>
  <si>
    <t>Date</t>
  </si>
  <si>
    <t>Cum</t>
  </si>
  <si>
    <t>years</t>
  </si>
  <si>
    <t>Payout         Days</t>
  </si>
  <si>
    <t>Working Interest</t>
  </si>
  <si>
    <t>Cost/well/month</t>
  </si>
  <si>
    <t>No of Wells</t>
  </si>
  <si>
    <t>Gross Override</t>
  </si>
  <si>
    <t>Crn Royalty %</t>
  </si>
  <si>
    <t>3% per year</t>
  </si>
  <si>
    <t>Decline %</t>
  </si>
  <si>
    <t>APO</t>
  </si>
  <si>
    <t>BPO</t>
  </si>
  <si>
    <t>Thereafter</t>
  </si>
  <si>
    <t>mscf/day</t>
  </si>
  <si>
    <t>Effective Jan 1,2026</t>
  </si>
  <si>
    <t>Gas Price $/Cdn</t>
  </si>
  <si>
    <t>Operator</t>
  </si>
  <si>
    <t>Price Escalates</t>
  </si>
  <si>
    <t>NPV Override</t>
  </si>
  <si>
    <t>NPV Net Op Inc</t>
  </si>
  <si>
    <t>Net Present Value</t>
  </si>
  <si>
    <t>NPV CRN Roy</t>
  </si>
  <si>
    <t>Sales Gas Rate Input</t>
  </si>
  <si>
    <t>Gaswell  SWOT Economics</t>
  </si>
  <si>
    <t>Capex $Cdn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</si>
</sst>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0.0%"/>
    <numFmt numFmtId="165" formatCode="&quot;$&quot;#,##0"/>
    <numFmt numFmtId="166" formatCode="&quot;$&quot;#,##0.00"/>
    <numFmt numFmtId="167" formatCode="&quot;$&quot;#,##0;[Red]&quot;$&quot;#,##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6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3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0" fontId="1" fillId="0" borderId="0" xfId="0" applyNumberFormat="1" applyFont="1" applyAlignment="1">
      <alignment horizontal="center"/>
    </xf>
    <xf numFmtId="166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tabSelected="1" zoomScaleNormal="100" workbookViewId="0"/>
  </sheetViews>
  <sheetFormatPr defaultRowHeight="12.5" x14ac:dyDescent="0.25"/>
  <cols>
    <col min="1" max="1" width="19.1796875" customWidth="1"/>
    <col min="2" max="2" width="16.26953125" bestFit="1" customWidth="1"/>
    <col min="3" max="3" width="14.453125" bestFit="1" customWidth="1"/>
    <col min="4" max="4" width="12.453125" bestFit="1" customWidth="1"/>
    <col min="5" max="5" width="14" bestFit="1" customWidth="1"/>
    <col min="6" max="6" width="9.6328125" bestFit="1" customWidth="1"/>
    <col min="7" max="7" width="14.36328125" bestFit="1" customWidth="1"/>
    <col min="8" max="8" width="13.6328125" customWidth="1"/>
    <col min="9" max="9" width="14.1796875" bestFit="1" customWidth="1"/>
    <col min="10" max="10" width="9.08984375" bestFit="1" customWidth="1"/>
    <col min="11" max="11" width="17.54296875" customWidth="1"/>
    <col min="12" max="12" width="11.6328125" bestFit="1" customWidth="1"/>
    <col min="13" max="13" width="11.36328125" bestFit="1" customWidth="1"/>
    <col min="14" max="14" width="11.6328125" bestFit="1" customWidth="1"/>
  </cols>
  <sheetData>
    <row r="1" spans="1:13" s="1" customFormat="1" ht="13" x14ac:dyDescent="0.3">
      <c r="A1" s="1" t="s">
        <v>43</v>
      </c>
    </row>
    <row r="2" spans="1:13" s="1" customFormat="1" ht="13" x14ac:dyDescent="0.3">
      <c r="A2" s="1" t="s">
        <v>42</v>
      </c>
      <c r="B2" s="5">
        <v>70</v>
      </c>
      <c r="C2" s="1" t="s">
        <v>33</v>
      </c>
    </row>
    <row r="3" spans="1:13" s="1" customFormat="1" ht="13" x14ac:dyDescent="0.3">
      <c r="A3" s="1" t="s">
        <v>34</v>
      </c>
    </row>
    <row r="4" spans="1:13" s="1" customFormat="1" ht="13" x14ac:dyDescent="0.3"/>
    <row r="5" spans="1:13" s="1" customFormat="1" ht="13" x14ac:dyDescent="0.3">
      <c r="B5" s="5">
        <v>2026</v>
      </c>
      <c r="C5" s="5">
        <f>+B5+1</f>
        <v>2027</v>
      </c>
      <c r="D5" s="5">
        <f t="shared" ref="D5:J5" si="0">+C5+1</f>
        <v>2028</v>
      </c>
      <c r="E5" s="5">
        <f t="shared" si="0"/>
        <v>2029</v>
      </c>
      <c r="F5" s="5">
        <f t="shared" si="0"/>
        <v>2030</v>
      </c>
      <c r="G5" s="5">
        <f t="shared" si="0"/>
        <v>2031</v>
      </c>
      <c r="H5" s="5">
        <f t="shared" si="0"/>
        <v>2032</v>
      </c>
      <c r="I5" s="5">
        <f t="shared" si="0"/>
        <v>2033</v>
      </c>
      <c r="J5" s="5">
        <f t="shared" si="0"/>
        <v>2034</v>
      </c>
      <c r="K5" s="1" t="s">
        <v>32</v>
      </c>
    </row>
    <row r="6" spans="1:13" s="1" customFormat="1" ht="13" x14ac:dyDescent="0.3">
      <c r="B6" s="5" t="s">
        <v>31</v>
      </c>
      <c r="C6" s="5" t="s">
        <v>30</v>
      </c>
      <c r="K6" s="1" t="s">
        <v>37</v>
      </c>
    </row>
    <row r="7" spans="1:13" s="1" customFormat="1" ht="13" x14ac:dyDescent="0.3">
      <c r="A7" s="1" t="s">
        <v>29</v>
      </c>
      <c r="B7" s="3">
        <v>0.1</v>
      </c>
      <c r="C7" s="5"/>
      <c r="K7" s="1" t="s">
        <v>28</v>
      </c>
    </row>
    <row r="8" spans="1:13" s="1" customFormat="1" ht="13" x14ac:dyDescent="0.3">
      <c r="A8" s="1" t="s">
        <v>35</v>
      </c>
      <c r="B8" s="20">
        <v>2.6</v>
      </c>
      <c r="C8" s="9">
        <v>3.35</v>
      </c>
      <c r="D8" s="9">
        <v>3.31</v>
      </c>
      <c r="E8" s="9">
        <v>3.35</v>
      </c>
      <c r="F8" s="9">
        <v>3.41</v>
      </c>
      <c r="G8" s="9">
        <v>3.48</v>
      </c>
      <c r="H8" s="9">
        <v>3.55</v>
      </c>
      <c r="I8" s="9">
        <v>3.62</v>
      </c>
      <c r="J8" s="9">
        <v>3.69</v>
      </c>
    </row>
    <row r="9" spans="1:13" s="1" customFormat="1" ht="13" x14ac:dyDescent="0.3">
      <c r="A9" s="1" t="s">
        <v>27</v>
      </c>
      <c r="B9" s="3">
        <v>0.03</v>
      </c>
      <c r="C9" s="5"/>
    </row>
    <row r="10" spans="1:13" s="1" customFormat="1" ht="13" x14ac:dyDescent="0.3">
      <c r="A10" s="1" t="s">
        <v>26</v>
      </c>
      <c r="B10" s="19">
        <v>0.05</v>
      </c>
      <c r="C10" s="19">
        <v>0.05</v>
      </c>
    </row>
    <row r="11" spans="1:13" s="1" customFormat="1" ht="13" x14ac:dyDescent="0.3">
      <c r="A11" s="1" t="s">
        <v>25</v>
      </c>
      <c r="B11" s="17">
        <v>1</v>
      </c>
      <c r="C11" s="5"/>
    </row>
    <row r="12" spans="1:13" ht="13" x14ac:dyDescent="0.3">
      <c r="A12" s="1" t="s">
        <v>24</v>
      </c>
      <c r="B12" s="6">
        <v>1050</v>
      </c>
      <c r="C12" s="18"/>
    </row>
    <row r="13" spans="1:13" ht="13" x14ac:dyDescent="0.3">
      <c r="A13" s="1" t="s">
        <v>23</v>
      </c>
      <c r="B13" s="3">
        <v>1</v>
      </c>
      <c r="C13" s="3">
        <v>1</v>
      </c>
      <c r="D13" s="1" t="s">
        <v>36</v>
      </c>
    </row>
    <row r="14" spans="1:13" ht="13" x14ac:dyDescent="0.3">
      <c r="A14" s="1" t="s">
        <v>22</v>
      </c>
      <c r="B14" s="17">
        <f>+(B15+C15)/((I20+I21+I22)/1095)</f>
        <v>371.29286889659568</v>
      </c>
      <c r="C14" s="16">
        <f>+B14/365</f>
        <v>1.0172407367030019</v>
      </c>
      <c r="D14" s="1" t="s">
        <v>21</v>
      </c>
    </row>
    <row r="15" spans="1:13" ht="13" x14ac:dyDescent="0.3">
      <c r="A15" s="1" t="s">
        <v>44</v>
      </c>
      <c r="B15" s="6">
        <f>+$K$20</f>
        <v>50000</v>
      </c>
      <c r="C15" s="6">
        <v>0</v>
      </c>
    </row>
    <row r="16" spans="1:13" ht="13" x14ac:dyDescent="0.3">
      <c r="A16" s="1"/>
      <c r="M16" s="5" t="s">
        <v>20</v>
      </c>
    </row>
    <row r="17" spans="1:14" s="1" customFormat="1" ht="13" x14ac:dyDescent="0.3">
      <c r="A17" s="5" t="s">
        <v>19</v>
      </c>
      <c r="B17" s="1" t="s">
        <v>18</v>
      </c>
      <c r="C17" s="5" t="s">
        <v>17</v>
      </c>
      <c r="D17" s="1" t="s">
        <v>16</v>
      </c>
      <c r="E17" s="1" t="s">
        <v>15</v>
      </c>
      <c r="F17" s="5" t="s">
        <v>14</v>
      </c>
      <c r="G17" s="5" t="s">
        <v>13</v>
      </c>
      <c r="H17" s="5" t="s">
        <v>12</v>
      </c>
      <c r="I17" s="5" t="s">
        <v>11</v>
      </c>
      <c r="J17" s="5" t="s">
        <v>10</v>
      </c>
      <c r="K17" s="5" t="s">
        <v>9</v>
      </c>
      <c r="L17" s="5" t="s">
        <v>8</v>
      </c>
      <c r="M17" s="5" t="s">
        <v>8</v>
      </c>
      <c r="N17" s="5" t="s">
        <v>7</v>
      </c>
    </row>
    <row r="18" spans="1:14" s="1" customFormat="1" ht="13" x14ac:dyDescent="0.3">
      <c r="A18" s="5"/>
      <c r="B18" s="5" t="s">
        <v>6</v>
      </c>
      <c r="C18" s="5" t="s">
        <v>4</v>
      </c>
      <c r="D18" s="5" t="s">
        <v>4</v>
      </c>
      <c r="E18" s="5" t="s">
        <v>4</v>
      </c>
      <c r="F18" s="5" t="s">
        <v>4</v>
      </c>
      <c r="G18" s="5" t="s">
        <v>4</v>
      </c>
      <c r="H18" s="5" t="s">
        <v>3</v>
      </c>
      <c r="I18" s="5" t="s">
        <v>4</v>
      </c>
      <c r="J18" s="5" t="s">
        <v>5</v>
      </c>
      <c r="K18" s="5" t="s">
        <v>4</v>
      </c>
      <c r="M18" s="5"/>
      <c r="N18" s="5" t="s">
        <v>3</v>
      </c>
    </row>
    <row r="19" spans="1:14" s="1" customFormat="1" ht="13" hidden="1" x14ac:dyDescent="0.3">
      <c r="A19" s="5"/>
      <c r="B19" s="5"/>
      <c r="C19" s="5"/>
      <c r="D19" s="5"/>
      <c r="E19" s="5"/>
      <c r="F19" s="5"/>
      <c r="G19" s="5"/>
      <c r="H19" s="5"/>
      <c r="I19" s="15">
        <f>-$K$20</f>
        <v>-50000</v>
      </c>
      <c r="J19" s="5"/>
      <c r="K19" s="5"/>
      <c r="L19" s="15"/>
      <c r="M19" s="5"/>
      <c r="N19" s="5"/>
    </row>
    <row r="20" spans="1:14" x14ac:dyDescent="0.25">
      <c r="A20" s="14">
        <v>46023</v>
      </c>
      <c r="B20" s="13">
        <f>$B$2*365*(1-0.05)</f>
        <v>24272.5</v>
      </c>
      <c r="C20" s="11">
        <f>+B20*$B$8</f>
        <v>63108.5</v>
      </c>
      <c r="D20" s="11">
        <f t="shared" ref="D20:D36" si="1">+C20*$B$9</f>
        <v>1893.2549999999999</v>
      </c>
      <c r="E20" s="11">
        <f>+C20*$B$10</f>
        <v>3155.4250000000002</v>
      </c>
      <c r="F20" s="11">
        <f t="shared" ref="F20:F36" si="2">+$B$11*$B$12*12</f>
        <v>12600</v>
      </c>
      <c r="G20" s="11">
        <f t="shared" ref="G20:G36" si="3">+C20-D20-E20-F20</f>
        <v>45459.82</v>
      </c>
      <c r="H20" s="10">
        <f>+$B$13</f>
        <v>1</v>
      </c>
      <c r="I20" s="11">
        <f t="shared" ref="I20:I36" si="4">+H20*G20</f>
        <v>45459.82</v>
      </c>
      <c r="J20" s="12">
        <f t="shared" ref="J20:J37" si="5">+G20/B20</f>
        <v>1.8728940158615717</v>
      </c>
      <c r="K20" s="11">
        <v>50000</v>
      </c>
      <c r="L20" s="11">
        <f t="shared" ref="L20:L36" si="6">+I20-K20</f>
        <v>-4540.18</v>
      </c>
      <c r="M20" s="11">
        <f>+I20-K20</f>
        <v>-4540.18</v>
      </c>
      <c r="N20" s="10">
        <f t="shared" ref="N20:N36" si="7">+I20/$K$20</f>
        <v>0.90919640000000002</v>
      </c>
    </row>
    <row r="21" spans="1:14" x14ac:dyDescent="0.25">
      <c r="A21" s="14">
        <f>+A20+365</f>
        <v>46388</v>
      </c>
      <c r="B21" s="13">
        <f t="shared" ref="B21:B36" si="8">+B20*(1-$B$7)</f>
        <v>21845.25</v>
      </c>
      <c r="C21" s="11">
        <f>+B21*$C$8</f>
        <v>73181.587500000009</v>
      </c>
      <c r="D21" s="11">
        <f t="shared" si="1"/>
        <v>2195.4476250000002</v>
      </c>
      <c r="E21" s="11">
        <f>+C21*$B$10</f>
        <v>3659.0793750000007</v>
      </c>
      <c r="F21" s="11">
        <f t="shared" si="2"/>
        <v>12600</v>
      </c>
      <c r="G21" s="11">
        <f t="shared" si="3"/>
        <v>54727.060500000007</v>
      </c>
      <c r="H21" s="10">
        <f>+$B$13</f>
        <v>1</v>
      </c>
      <c r="I21" s="11">
        <f t="shared" si="4"/>
        <v>54727.060500000007</v>
      </c>
      <c r="J21" s="12">
        <f t="shared" si="5"/>
        <v>2.5052155731795245</v>
      </c>
      <c r="K21" s="11"/>
      <c r="L21" s="11">
        <f t="shared" si="6"/>
        <v>54727.060500000007</v>
      </c>
      <c r="M21" s="11">
        <f t="shared" ref="M21:M36" si="9">+M20+I21</f>
        <v>50186.880500000007</v>
      </c>
      <c r="N21" s="10">
        <f t="shared" si="7"/>
        <v>1.09454121</v>
      </c>
    </row>
    <row r="22" spans="1:14" x14ac:dyDescent="0.25">
      <c r="A22" s="14">
        <f>+A21+365</f>
        <v>46753</v>
      </c>
      <c r="B22" s="13">
        <f t="shared" si="8"/>
        <v>19660.725000000002</v>
      </c>
      <c r="C22" s="11">
        <f>+B22*$D$8</f>
        <v>65076.99975000001</v>
      </c>
      <c r="D22" s="11">
        <f t="shared" si="1"/>
        <v>1952.3099925000001</v>
      </c>
      <c r="E22" s="11">
        <f t="shared" ref="E22:E36" si="10">+C22*$C$10</f>
        <v>3253.8499875000007</v>
      </c>
      <c r="F22" s="11">
        <f t="shared" si="2"/>
        <v>12600</v>
      </c>
      <c r="G22" s="11">
        <f t="shared" si="3"/>
        <v>47270.839770000013</v>
      </c>
      <c r="H22" s="10">
        <f t="shared" ref="H22:H36" si="11">+$C$13</f>
        <v>1</v>
      </c>
      <c r="I22" s="11">
        <f t="shared" si="4"/>
        <v>47270.839770000013</v>
      </c>
      <c r="J22" s="12">
        <f t="shared" si="5"/>
        <v>2.4043284146439161</v>
      </c>
      <c r="K22" s="11"/>
      <c r="L22" s="11">
        <f t="shared" si="6"/>
        <v>47270.839770000013</v>
      </c>
      <c r="M22" s="11">
        <f t="shared" si="9"/>
        <v>97457.72027000002</v>
      </c>
      <c r="N22" s="10">
        <f t="shared" si="7"/>
        <v>0.94541679540000023</v>
      </c>
    </row>
    <row r="23" spans="1:14" x14ac:dyDescent="0.25">
      <c r="A23" s="14">
        <f>+A22+366</f>
        <v>47119</v>
      </c>
      <c r="B23" s="13">
        <f t="shared" si="8"/>
        <v>17694.652500000004</v>
      </c>
      <c r="C23" s="11">
        <f>+B23*$E$8</f>
        <v>59277.085875000012</v>
      </c>
      <c r="D23" s="11">
        <f t="shared" si="1"/>
        <v>1778.3125762500003</v>
      </c>
      <c r="E23" s="11">
        <f t="shared" si="10"/>
        <v>2963.8542937500006</v>
      </c>
      <c r="F23" s="11">
        <f t="shared" si="2"/>
        <v>12600</v>
      </c>
      <c r="G23" s="11">
        <f t="shared" si="3"/>
        <v>41934.919005000011</v>
      </c>
      <c r="H23" s="10">
        <f t="shared" si="11"/>
        <v>1</v>
      </c>
      <c r="I23" s="11">
        <f t="shared" si="4"/>
        <v>41934.919005000011</v>
      </c>
      <c r="J23" s="12">
        <f t="shared" si="5"/>
        <v>2.3699204607154618</v>
      </c>
      <c r="K23" s="11"/>
      <c r="L23" s="11">
        <f t="shared" si="6"/>
        <v>41934.919005000011</v>
      </c>
      <c r="M23" s="11">
        <f t="shared" si="9"/>
        <v>139392.63927500002</v>
      </c>
      <c r="N23" s="10">
        <f t="shared" si="7"/>
        <v>0.8386983801000002</v>
      </c>
    </row>
    <row r="24" spans="1:14" x14ac:dyDescent="0.25">
      <c r="A24" s="14">
        <f>+A23+365</f>
        <v>47484</v>
      </c>
      <c r="B24" s="13">
        <f t="shared" si="8"/>
        <v>15925.187250000004</v>
      </c>
      <c r="C24" s="11">
        <f>+B24*$F$8</f>
        <v>54304.888522500019</v>
      </c>
      <c r="D24" s="11">
        <f t="shared" si="1"/>
        <v>1629.1466556750006</v>
      </c>
      <c r="E24" s="11">
        <f t="shared" si="10"/>
        <v>2715.2444261250012</v>
      </c>
      <c r="F24" s="11">
        <f t="shared" si="2"/>
        <v>12600</v>
      </c>
      <c r="G24" s="11">
        <f t="shared" si="3"/>
        <v>37360.497440700019</v>
      </c>
      <c r="H24" s="10">
        <f t="shared" si="11"/>
        <v>1</v>
      </c>
      <c r="I24" s="11">
        <f t="shared" si="4"/>
        <v>37360.497440700019</v>
      </c>
      <c r="J24" s="12">
        <f t="shared" si="5"/>
        <v>2.3460005119060692</v>
      </c>
      <c r="K24" s="11"/>
      <c r="L24" s="11">
        <f t="shared" si="6"/>
        <v>37360.497440700019</v>
      </c>
      <c r="M24" s="11">
        <f t="shared" si="9"/>
        <v>176753.13671570003</v>
      </c>
      <c r="N24" s="10">
        <f t="shared" si="7"/>
        <v>0.74720994881400038</v>
      </c>
    </row>
    <row r="25" spans="1:14" x14ac:dyDescent="0.25">
      <c r="A25" s="14">
        <f>+A24+365</f>
        <v>47849</v>
      </c>
      <c r="B25" s="13">
        <f t="shared" si="8"/>
        <v>14332.668525000005</v>
      </c>
      <c r="C25" s="11">
        <f>+B25*$G$8</f>
        <v>49877.686467000014</v>
      </c>
      <c r="D25" s="11">
        <f t="shared" si="1"/>
        <v>1496.3305940100004</v>
      </c>
      <c r="E25" s="11">
        <f t="shared" si="10"/>
        <v>2493.8843233500011</v>
      </c>
      <c r="F25" s="11">
        <f t="shared" si="2"/>
        <v>12600</v>
      </c>
      <c r="G25" s="11">
        <f t="shared" si="3"/>
        <v>33287.471549640009</v>
      </c>
      <c r="H25" s="10">
        <f t="shared" si="11"/>
        <v>1</v>
      </c>
      <c r="I25" s="11">
        <f t="shared" si="4"/>
        <v>33287.471549640009</v>
      </c>
      <c r="J25" s="12">
        <f t="shared" si="5"/>
        <v>2.3224894576734099</v>
      </c>
      <c r="K25" s="11"/>
      <c r="L25" s="11">
        <f t="shared" si="6"/>
        <v>33287.471549640009</v>
      </c>
      <c r="M25" s="11">
        <f t="shared" si="9"/>
        <v>210040.60826534004</v>
      </c>
      <c r="N25" s="10">
        <f t="shared" si="7"/>
        <v>0.66574943099280015</v>
      </c>
    </row>
    <row r="26" spans="1:14" x14ac:dyDescent="0.25">
      <c r="A26" s="14">
        <f>+A25+365</f>
        <v>48214</v>
      </c>
      <c r="B26" s="13">
        <f t="shared" si="8"/>
        <v>12899.401672500004</v>
      </c>
      <c r="C26" s="11">
        <f>+B26*$H$8</f>
        <v>45792.875937375014</v>
      </c>
      <c r="D26" s="11">
        <f t="shared" si="1"/>
        <v>1373.7862781212505</v>
      </c>
      <c r="E26" s="11">
        <f t="shared" si="10"/>
        <v>2289.643796868751</v>
      </c>
      <c r="F26" s="11">
        <f t="shared" si="2"/>
        <v>12600</v>
      </c>
      <c r="G26" s="11">
        <f t="shared" si="3"/>
        <v>29529.445862385008</v>
      </c>
      <c r="H26" s="10">
        <f t="shared" si="11"/>
        <v>1</v>
      </c>
      <c r="I26" s="11">
        <f t="shared" si="4"/>
        <v>29529.445862385008</v>
      </c>
      <c r="J26" s="12">
        <f t="shared" si="5"/>
        <v>2.2892105085260108</v>
      </c>
      <c r="K26" s="11"/>
      <c r="L26" s="11">
        <f t="shared" si="6"/>
        <v>29529.445862385008</v>
      </c>
      <c r="M26" s="11">
        <f t="shared" si="9"/>
        <v>239570.05412772504</v>
      </c>
      <c r="N26" s="10">
        <f t="shared" si="7"/>
        <v>0.59058891724770013</v>
      </c>
    </row>
    <row r="27" spans="1:14" x14ac:dyDescent="0.25">
      <c r="A27" s="14">
        <f>+A26+366</f>
        <v>48580</v>
      </c>
      <c r="B27" s="13">
        <f t="shared" si="8"/>
        <v>11609.461505250003</v>
      </c>
      <c r="C27" s="11">
        <f>+B27*$I$8</f>
        <v>42026.250649005015</v>
      </c>
      <c r="D27" s="11">
        <f t="shared" si="1"/>
        <v>1260.7875194701503</v>
      </c>
      <c r="E27" s="11">
        <f t="shared" si="10"/>
        <v>2101.3125324502507</v>
      </c>
      <c r="F27" s="11">
        <f t="shared" si="2"/>
        <v>12600</v>
      </c>
      <c r="G27" s="11">
        <f t="shared" si="3"/>
        <v>26064.150597084619</v>
      </c>
      <c r="H27" s="10">
        <f t="shared" si="11"/>
        <v>1</v>
      </c>
      <c r="I27" s="11">
        <f t="shared" si="4"/>
        <v>26064.150597084619</v>
      </c>
      <c r="J27" s="12">
        <f t="shared" si="5"/>
        <v>2.2450783428066798</v>
      </c>
      <c r="K27" s="11"/>
      <c r="L27" s="11">
        <f t="shared" si="6"/>
        <v>26064.150597084619</v>
      </c>
      <c r="M27" s="11">
        <f t="shared" si="9"/>
        <v>265634.20472480968</v>
      </c>
      <c r="N27" s="10">
        <f t="shared" si="7"/>
        <v>0.52128301194169235</v>
      </c>
    </row>
    <row r="28" spans="1:14" x14ac:dyDescent="0.25">
      <c r="A28" s="14">
        <f>+A27+365</f>
        <v>48945</v>
      </c>
      <c r="B28" s="13">
        <f t="shared" si="8"/>
        <v>10448.515354725003</v>
      </c>
      <c r="C28" s="11">
        <f>+B28*$J$8</f>
        <v>38555.021658935257</v>
      </c>
      <c r="D28" s="11">
        <f t="shared" si="1"/>
        <v>1156.6506497680577</v>
      </c>
      <c r="E28" s="11">
        <f t="shared" si="10"/>
        <v>1927.7510829467628</v>
      </c>
      <c r="F28" s="11">
        <f t="shared" si="2"/>
        <v>12600</v>
      </c>
      <c r="G28" s="11">
        <f t="shared" si="3"/>
        <v>22870.619926220432</v>
      </c>
      <c r="H28" s="10">
        <f t="shared" si="11"/>
        <v>1</v>
      </c>
      <c r="I28" s="11">
        <f t="shared" si="4"/>
        <v>22870.619926220432</v>
      </c>
      <c r="J28" s="12">
        <f t="shared" si="5"/>
        <v>2.188887047562976</v>
      </c>
      <c r="K28" s="11"/>
      <c r="L28" s="11">
        <f t="shared" si="6"/>
        <v>22870.619926220432</v>
      </c>
      <c r="M28" s="11">
        <f t="shared" si="9"/>
        <v>288504.82465103013</v>
      </c>
      <c r="N28" s="10">
        <f t="shared" si="7"/>
        <v>0.45741239852440863</v>
      </c>
    </row>
    <row r="29" spans="1:14" x14ac:dyDescent="0.25">
      <c r="A29" s="14">
        <f>+A28+365</f>
        <v>49310</v>
      </c>
      <c r="B29" s="13">
        <f t="shared" si="8"/>
        <v>9403.6638192525024</v>
      </c>
      <c r="C29" s="11">
        <f t="shared" ref="C29:C36" si="12">+B29*$J$8*1.03</f>
        <v>35740.50507783299</v>
      </c>
      <c r="D29" s="11">
        <f t="shared" si="1"/>
        <v>1072.2151523349896</v>
      </c>
      <c r="E29" s="11">
        <f t="shared" si="10"/>
        <v>1787.0252538916495</v>
      </c>
      <c r="F29" s="11">
        <f t="shared" si="2"/>
        <v>12600</v>
      </c>
      <c r="G29" s="11">
        <f t="shared" si="3"/>
        <v>20281.264671606354</v>
      </c>
      <c r="H29" s="10">
        <f t="shared" si="11"/>
        <v>1</v>
      </c>
      <c r="I29" s="11">
        <f t="shared" si="4"/>
        <v>20281.264671606354</v>
      </c>
      <c r="J29" s="12">
        <f t="shared" si="5"/>
        <v>2.1567407195144193</v>
      </c>
      <c r="K29" s="11"/>
      <c r="L29" s="11">
        <f t="shared" si="6"/>
        <v>20281.264671606354</v>
      </c>
      <c r="M29" s="11">
        <f t="shared" si="9"/>
        <v>308786.08932263649</v>
      </c>
      <c r="N29" s="10">
        <f t="shared" si="7"/>
        <v>0.40562529343212705</v>
      </c>
    </row>
    <row r="30" spans="1:14" x14ac:dyDescent="0.25">
      <c r="A30" s="14">
        <f>+A29+365</f>
        <v>49675</v>
      </c>
      <c r="B30" s="13">
        <f t="shared" si="8"/>
        <v>8463.2974373272518</v>
      </c>
      <c r="C30" s="11">
        <f t="shared" si="12"/>
        <v>32166.454570049686</v>
      </c>
      <c r="D30" s="11">
        <f t="shared" si="1"/>
        <v>964.99363710149055</v>
      </c>
      <c r="E30" s="11">
        <f t="shared" si="10"/>
        <v>1608.3227285024843</v>
      </c>
      <c r="F30" s="11">
        <f t="shared" si="2"/>
        <v>12600</v>
      </c>
      <c r="G30" s="11">
        <f t="shared" si="3"/>
        <v>16993.13820444571</v>
      </c>
      <c r="H30" s="10">
        <f t="shared" si="11"/>
        <v>1</v>
      </c>
      <c r="I30" s="11">
        <f t="shared" si="4"/>
        <v>16993.13820444571</v>
      </c>
      <c r="J30" s="12">
        <f t="shared" si="5"/>
        <v>2.0078625772382424</v>
      </c>
      <c r="K30" s="11"/>
      <c r="L30" s="11">
        <f t="shared" si="6"/>
        <v>16993.13820444571</v>
      </c>
      <c r="M30" s="11">
        <f t="shared" si="9"/>
        <v>325779.2275270822</v>
      </c>
      <c r="N30" s="10">
        <f t="shared" si="7"/>
        <v>0.33986276408891419</v>
      </c>
    </row>
    <row r="31" spans="1:14" x14ac:dyDescent="0.25">
      <c r="A31" s="14">
        <f>+A30+366</f>
        <v>50041</v>
      </c>
      <c r="B31" s="13">
        <f t="shared" si="8"/>
        <v>7616.9676935945272</v>
      </c>
      <c r="C31" s="11">
        <f t="shared" si="12"/>
        <v>28949.809113044717</v>
      </c>
      <c r="D31" s="11">
        <f t="shared" si="1"/>
        <v>868.49427339134149</v>
      </c>
      <c r="E31" s="11">
        <f t="shared" si="10"/>
        <v>1447.4904556522361</v>
      </c>
      <c r="F31" s="11">
        <f t="shared" si="2"/>
        <v>12600</v>
      </c>
      <c r="G31" s="11">
        <f t="shared" si="3"/>
        <v>14033.824384001142</v>
      </c>
      <c r="H31" s="10">
        <f t="shared" si="11"/>
        <v>1</v>
      </c>
      <c r="I31" s="11">
        <f t="shared" si="4"/>
        <v>14033.824384001142</v>
      </c>
      <c r="J31" s="12">
        <f t="shared" si="5"/>
        <v>1.8424424191536031</v>
      </c>
      <c r="K31" s="11"/>
      <c r="L31" s="11">
        <f t="shared" si="6"/>
        <v>14033.824384001142</v>
      </c>
      <c r="M31" s="11">
        <f t="shared" si="9"/>
        <v>339813.05191108334</v>
      </c>
      <c r="N31" s="10">
        <f t="shared" si="7"/>
        <v>0.28067648768002285</v>
      </c>
    </row>
    <row r="32" spans="1:14" x14ac:dyDescent="0.25">
      <c r="A32" s="14">
        <f>+A31+365</f>
        <v>50406</v>
      </c>
      <c r="B32" s="13">
        <f t="shared" si="8"/>
        <v>6855.2709242350747</v>
      </c>
      <c r="C32" s="11">
        <f t="shared" si="12"/>
        <v>26054.828201740249</v>
      </c>
      <c r="D32" s="11">
        <f t="shared" si="1"/>
        <v>781.64484605220741</v>
      </c>
      <c r="E32" s="11">
        <f t="shared" si="10"/>
        <v>1302.7414100870126</v>
      </c>
      <c r="F32" s="11">
        <f t="shared" si="2"/>
        <v>12600</v>
      </c>
      <c r="G32" s="11">
        <f t="shared" si="3"/>
        <v>11370.441945601029</v>
      </c>
      <c r="H32" s="10">
        <f t="shared" si="11"/>
        <v>1</v>
      </c>
      <c r="I32" s="11">
        <f t="shared" si="4"/>
        <v>11370.441945601029</v>
      </c>
      <c r="J32" s="12">
        <f t="shared" si="5"/>
        <v>1.6586422435040036</v>
      </c>
      <c r="K32" s="11"/>
      <c r="L32" s="11">
        <f t="shared" si="6"/>
        <v>11370.441945601029</v>
      </c>
      <c r="M32" s="11">
        <f t="shared" si="9"/>
        <v>351183.49385668436</v>
      </c>
      <c r="N32" s="10">
        <f t="shared" si="7"/>
        <v>0.22740883891202057</v>
      </c>
    </row>
    <row r="33" spans="1:14" x14ac:dyDescent="0.25">
      <c r="A33" s="14">
        <f>+A32+365</f>
        <v>50771</v>
      </c>
      <c r="B33" s="13">
        <f t="shared" si="8"/>
        <v>6169.7438318115674</v>
      </c>
      <c r="C33" s="11">
        <f t="shared" si="12"/>
        <v>23449.345381566221</v>
      </c>
      <c r="D33" s="11">
        <f t="shared" si="1"/>
        <v>703.48036144698665</v>
      </c>
      <c r="E33" s="11">
        <f t="shared" si="10"/>
        <v>1172.4672690783111</v>
      </c>
      <c r="F33" s="11">
        <f t="shared" si="2"/>
        <v>12600</v>
      </c>
      <c r="G33" s="11">
        <f t="shared" si="3"/>
        <v>8973.397751040924</v>
      </c>
      <c r="H33" s="10">
        <f t="shared" si="11"/>
        <v>1</v>
      </c>
      <c r="I33" s="11">
        <f t="shared" si="4"/>
        <v>8973.397751040924</v>
      </c>
      <c r="J33" s="12">
        <f t="shared" si="5"/>
        <v>1.4544198261155592</v>
      </c>
      <c r="K33" s="11"/>
      <c r="L33" s="11">
        <f t="shared" si="6"/>
        <v>8973.397751040924</v>
      </c>
      <c r="M33" s="11">
        <f t="shared" si="9"/>
        <v>360156.89160772529</v>
      </c>
      <c r="N33" s="10">
        <f t="shared" si="7"/>
        <v>0.17946795502081847</v>
      </c>
    </row>
    <row r="34" spans="1:14" x14ac:dyDescent="0.25">
      <c r="A34" s="14">
        <f>+A33+365</f>
        <v>51136</v>
      </c>
      <c r="B34" s="13">
        <f t="shared" si="8"/>
        <v>5552.7694486304108</v>
      </c>
      <c r="C34" s="11">
        <f t="shared" si="12"/>
        <v>21104.410843409602</v>
      </c>
      <c r="D34" s="11">
        <f t="shared" si="1"/>
        <v>633.132325302288</v>
      </c>
      <c r="E34" s="11">
        <f t="shared" si="10"/>
        <v>1055.22054217048</v>
      </c>
      <c r="F34" s="11">
        <f t="shared" si="2"/>
        <v>12600</v>
      </c>
      <c r="G34" s="11">
        <f t="shared" si="3"/>
        <v>6816.0579759368338</v>
      </c>
      <c r="H34" s="10">
        <f t="shared" si="11"/>
        <v>1</v>
      </c>
      <c r="I34" s="11">
        <f t="shared" si="4"/>
        <v>6816.0579759368338</v>
      </c>
      <c r="J34" s="12">
        <f t="shared" si="5"/>
        <v>1.2275060290172886</v>
      </c>
      <c r="K34" s="11"/>
      <c r="L34" s="11">
        <f t="shared" si="6"/>
        <v>6816.0579759368338</v>
      </c>
      <c r="M34" s="11">
        <f t="shared" si="9"/>
        <v>366972.94958366215</v>
      </c>
      <c r="N34" s="10">
        <f t="shared" si="7"/>
        <v>0.13632115951873669</v>
      </c>
    </row>
    <row r="35" spans="1:14" x14ac:dyDescent="0.25">
      <c r="A35" s="14">
        <f>+A34+366</f>
        <v>51502</v>
      </c>
      <c r="B35" s="13">
        <f t="shared" si="8"/>
        <v>4997.4925037673702</v>
      </c>
      <c r="C35" s="11">
        <f t="shared" si="12"/>
        <v>18993.969759068641</v>
      </c>
      <c r="D35" s="11">
        <f t="shared" si="1"/>
        <v>569.81909277205921</v>
      </c>
      <c r="E35" s="11">
        <f t="shared" si="10"/>
        <v>949.69848795343205</v>
      </c>
      <c r="F35" s="11">
        <f t="shared" si="2"/>
        <v>12600</v>
      </c>
      <c r="G35" s="11">
        <f t="shared" si="3"/>
        <v>4874.4521783431483</v>
      </c>
      <c r="H35" s="10">
        <f t="shared" si="11"/>
        <v>1</v>
      </c>
      <c r="I35" s="11">
        <f t="shared" si="4"/>
        <v>4874.4521783431483</v>
      </c>
      <c r="J35" s="12">
        <f t="shared" si="5"/>
        <v>0.97537958779698664</v>
      </c>
      <c r="K35" s="11"/>
      <c r="L35" s="11">
        <f t="shared" si="6"/>
        <v>4874.4521783431483</v>
      </c>
      <c r="M35" s="11">
        <f t="shared" si="9"/>
        <v>371847.40176200529</v>
      </c>
      <c r="N35" s="10">
        <f t="shared" si="7"/>
        <v>9.7489043566862971E-2</v>
      </c>
    </row>
    <row r="36" spans="1:14" x14ac:dyDescent="0.25">
      <c r="A36" s="14">
        <f>+A35+365</f>
        <v>51867</v>
      </c>
      <c r="B36" s="13">
        <f t="shared" si="8"/>
        <v>4497.7432533906331</v>
      </c>
      <c r="C36" s="11">
        <f t="shared" si="12"/>
        <v>17094.572783161781</v>
      </c>
      <c r="D36" s="11">
        <f t="shared" si="1"/>
        <v>512.83718349485343</v>
      </c>
      <c r="E36" s="11">
        <f t="shared" si="10"/>
        <v>854.72863915808909</v>
      </c>
      <c r="F36" s="11">
        <f t="shared" si="2"/>
        <v>12600</v>
      </c>
      <c r="G36" s="11">
        <f t="shared" si="3"/>
        <v>3127.0069605088393</v>
      </c>
      <c r="H36" s="10">
        <f t="shared" si="11"/>
        <v>1</v>
      </c>
      <c r="I36" s="11">
        <f t="shared" si="4"/>
        <v>3127.0069605088393</v>
      </c>
      <c r="J36" s="12">
        <f t="shared" si="5"/>
        <v>0.69523909755220881</v>
      </c>
      <c r="K36" s="11"/>
      <c r="L36" s="11">
        <f t="shared" si="6"/>
        <v>3127.0069605088393</v>
      </c>
      <c r="M36" s="11">
        <f t="shared" si="9"/>
        <v>374974.40872251411</v>
      </c>
      <c r="N36" s="10">
        <f t="shared" si="7"/>
        <v>6.2540139210176787E-2</v>
      </c>
    </row>
    <row r="37" spans="1:14" s="1" customFormat="1" ht="13" x14ac:dyDescent="0.3">
      <c r="A37" s="5"/>
      <c r="B37" s="8">
        <f>SUM(B20:B36)</f>
        <v>202245.31071948438</v>
      </c>
      <c r="C37" s="8">
        <f>SUM(C20:C36)</f>
        <v>694754.79208968929</v>
      </c>
      <c r="D37" s="8">
        <f>SUM(D20:D36)</f>
        <v>20842.643762690677</v>
      </c>
      <c r="E37" s="8">
        <f>SUM(E20:E36)</f>
        <v>34737.739604484465</v>
      </c>
      <c r="F37" s="6"/>
      <c r="G37" s="8">
        <f>SUM(G20:G36)</f>
        <v>424974.40872251411</v>
      </c>
      <c r="H37" s="6"/>
      <c r="I37" s="8">
        <f>SUM(I20:I36)</f>
        <v>424974.40872251411</v>
      </c>
      <c r="J37" s="9">
        <f t="shared" si="5"/>
        <v>2.1012818898528458</v>
      </c>
      <c r="K37" s="6"/>
      <c r="L37" s="8">
        <f>SUM(L20:L36)</f>
        <v>374974.40872251411</v>
      </c>
      <c r="M37" s="6"/>
      <c r="N37" s="3"/>
    </row>
    <row r="38" spans="1:14" s="1" customFormat="1" ht="13" x14ac:dyDescent="0.3">
      <c r="A38" s="5"/>
      <c r="B38" s="8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4" ht="13" x14ac:dyDescent="0.3">
      <c r="A39" s="5" t="s">
        <v>40</v>
      </c>
      <c r="D39" s="5" t="s">
        <v>41</v>
      </c>
      <c r="E39" s="5" t="s">
        <v>38</v>
      </c>
      <c r="G39" s="5"/>
      <c r="H39" s="5"/>
      <c r="I39" s="5" t="s">
        <v>39</v>
      </c>
      <c r="K39" s="5"/>
      <c r="L39" s="5" t="s">
        <v>2</v>
      </c>
      <c r="M39" s="5" t="s">
        <v>1</v>
      </c>
      <c r="N39" s="5" t="s">
        <v>0</v>
      </c>
    </row>
    <row r="40" spans="1:14" s="1" customFormat="1" ht="13" x14ac:dyDescent="0.3">
      <c r="A40" s="3">
        <v>0.1</v>
      </c>
      <c r="D40" s="2">
        <f>NPV($A$40,D20:D36)</f>
        <v>11673.89180246137</v>
      </c>
      <c r="E40" s="2">
        <f>NPV($A$40,E20:E36)</f>
        <v>19456.486337435614</v>
      </c>
      <c r="G40" s="5"/>
      <c r="H40" s="2"/>
      <c r="I40" s="2">
        <f>NPV($A$40,I20:I36)</f>
        <v>256927.77689023249</v>
      </c>
      <c r="K40" s="2"/>
      <c r="L40" s="2">
        <f>NPV($A$40,L20:L36)</f>
        <v>211473.23143568705</v>
      </c>
      <c r="M40" s="3">
        <f>IRR(I19:I36)</f>
        <v>0.93830251008679699</v>
      </c>
      <c r="N40" s="4">
        <f>SUM(N20:N36)/17</f>
        <v>0.49996989261472252</v>
      </c>
    </row>
    <row r="41" spans="1:14" s="1" customFormat="1" ht="13" x14ac:dyDescent="0.3">
      <c r="A41" s="3">
        <v>0.12</v>
      </c>
      <c r="D41" s="2">
        <f>NPV($A$41,D20:D36)</f>
        <v>10642.569711827256</v>
      </c>
      <c r="E41" s="2">
        <f>NPV($A$41,E20:E36)</f>
        <v>17737.616186378764</v>
      </c>
      <c r="G41" s="5"/>
      <c r="H41" s="2"/>
      <c r="I41" s="2">
        <f>NPV($A$41,I20:I36)</f>
        <v>236664.7936271537</v>
      </c>
      <c r="K41" s="2"/>
      <c r="L41" s="2">
        <f>NPV($A$41,L20:L36)</f>
        <v>192021.9364842966</v>
      </c>
    </row>
    <row r="42" spans="1:14" s="1" customFormat="1" ht="13" x14ac:dyDescent="0.3">
      <c r="A42" s="3">
        <v>0.15</v>
      </c>
      <c r="D42" s="2">
        <f>NPV($A$42,D20:D36)</f>
        <v>9368.6967647763177</v>
      </c>
      <c r="E42" s="2">
        <f>NPV($A$42,E20:E36)</f>
        <v>15614.494607960529</v>
      </c>
      <c r="G42" s="5"/>
      <c r="H42" s="2"/>
      <c r="I42" s="2">
        <f>NPV($A$42,I20:I36)</f>
        <v>211112.47527210572</v>
      </c>
      <c r="K42" s="2"/>
      <c r="L42" s="2">
        <f>NPV($A$42,L20:L36)</f>
        <v>167634.21440254053</v>
      </c>
    </row>
  </sheetData>
  <printOptions gridLines="1"/>
  <pageMargins left="0.75" right="0.75" top="1" bottom="1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Typical well 70 mscfday </vt:lpstr>
      <vt:lpstr>'Typical well 70 mscfday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Jim Gettis</cp:lastModifiedBy>
  <cp:lastPrinted>2013-06-03T03:23:54Z</cp:lastPrinted>
  <dcterms:created xsi:type="dcterms:W3CDTF">2012-03-22T21:52:04Z</dcterms:created>
  <dcterms:modified xsi:type="dcterms:W3CDTF">2026-04-28T20:34:14Z</dcterms:modified>
</cp:coreProperties>
</file>